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0" documentId="8_{FBB7950C-4CEC-438E-BFB8-D6A3E6BBF283}" xr6:coauthVersionLast="47" xr6:coauthVersionMax="47" xr10:uidLastSave="{00000000-0000-0000-0000-000000000000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<sst xmlns="http://schemas.openxmlformats.org/spreadsheetml/2006/main" count="605" uniqueCount="324">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</sst>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J38" sqref="J38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25809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193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15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3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282</v>
      </c>
      <c r="C11" s="100"/>
      <c r="D11" s="98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25809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>
        <f>VLOOKUP(($D$4),Parameters!$A$4:$R$78,$N$7,FALSE)</f>
        <v>850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>
        <f>VLOOKUP($D$4,Parameters!$A$4:$R$78,$N$7+3,FALSE)</f>
        <v>200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>
        <f>VLOOKUP($D$4,Parameters!$A$4:$R$78,$N$7+6,FALSE)</f>
        <v>610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>
        <f>VLOOKUP($D$4,Parameters!$A$4:$R$78,$N$7+9,FALSE)</f>
        <v>40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>
        <f>VLOOKUP($D$4,Parameters!$A$4:$R$78,$N$7+12,FALSE)</f>
        <v>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8</v>
      </c>
      <c r="E28" s="161">
        <f>(D28*Parameters!$B$92)/60</f>
        <v>6.666666666666667</v>
      </c>
      <c r="F28" s="162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>Leerjaar 2</v>
      </c>
      <c r="C32" s="113" t="s">
        <v>46</v>
      </c>
      <c r="D32" s="126">
        <v>7</v>
      </c>
      <c r="E32" s="161">
        <f>(D32*Parameters!$B$92)/60</f>
        <v>5.833333333333333</v>
      </c>
      <c r="F32" s="162"/>
      <c r="G32" s="124">
        <f>IF($N$11&gt;=2,IF($N$6="BOL",Parameters!C85,Parameters!B85),"-")</f>
        <v>9</v>
      </c>
      <c r="H32" s="125">
        <f>IF(G32&lt;&gt;"-",E32*G32,0)</f>
        <v>52.5</v>
      </c>
      <c r="I32" s="126">
        <v>0</v>
      </c>
      <c r="J32" s="126">
        <v>200</v>
      </c>
      <c r="K32" s="125">
        <f t="shared" ref="K32:K35" si="0">J32+I32+H32</f>
        <v>252.5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>
        <v>7</v>
      </c>
      <c r="E33" s="161">
        <f>(D33*Parameters!$B$92)/60</f>
        <v>5.833333333333333</v>
      </c>
      <c r="F33" s="162"/>
      <c r="G33" s="124">
        <f>IF($N$11&gt;=2,IF($N$6="BOL",Parameters!C86,Parameters!B86),"-")</f>
        <v>9</v>
      </c>
      <c r="H33" s="125">
        <f t="shared" ref="H33:H35" si="1">IF(G33&lt;&gt;"-",E33*G33,0)</f>
        <v>52.5</v>
      </c>
      <c r="I33" s="126">
        <v>0</v>
      </c>
      <c r="J33" s="126">
        <v>200</v>
      </c>
      <c r="K33" s="125">
        <f t="shared" si="0"/>
        <v>252.5</v>
      </c>
      <c r="M33" s="101" t="s">
        <v>49</v>
      </c>
      <c r="N33" s="109">
        <f>IF(OR($N$6="BOL",$N$6="VRIJ"),0,N32*200/10)*(100%+Parameters!$B$91)</f>
        <v>206</v>
      </c>
      <c r="O33" s="110">
        <f>N33/(100%+Parameters!$B$91)</f>
        <v>200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>
        <v>8</v>
      </c>
      <c r="E34" s="161">
        <f>(D34*Parameters!$B$92)/60</f>
        <v>6.666666666666667</v>
      </c>
      <c r="F34" s="162"/>
      <c r="G34" s="124">
        <f>IF($N$11&gt;=2,IF($N$6="BOL",Parameters!C87,Parameters!B87),"-")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>
        <v>8</v>
      </c>
      <c r="E35" s="161">
        <f>(D35*Parameters!$B$92)/60</f>
        <v>6.666666666666667</v>
      </c>
      <c r="F35" s="162"/>
      <c r="G35" s="124">
        <f>IF($N$11&gt;=2,IF($N$6="BOL",Parameters!C88,Parameters!B88),"-")</f>
        <v>8</v>
      </c>
      <c r="H35" s="125">
        <f t="shared" si="1"/>
        <v>53.333333333333336</v>
      </c>
      <c r="I35" s="126">
        <v>0</v>
      </c>
      <c r="J35" s="126">
        <v>160</v>
      </c>
      <c r="K35" s="125">
        <f t="shared" si="0"/>
        <v>213.33333333333334</v>
      </c>
      <c r="M35" s="101" t="s">
        <v>53</v>
      </c>
      <c r="N35" s="109">
        <f>IF($N$6="BOL",N32*1000/10,IF($N$6="BBL",N32*850/10,0))*(100%+Parameters!$B$91)</f>
        <v>875.5</v>
      </c>
      <c r="O35" s="110">
        <f>N35/(100%+Parameters!$B$91)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218.33333333333334</v>
      </c>
      <c r="I36" s="130">
        <f>SUM(I32:I35)</f>
        <v>0</v>
      </c>
      <c r="J36" s="131">
        <f>SUM(J32:J35)</f>
        <v>760</v>
      </c>
      <c r="K36" s="131">
        <f>SUM(K32:K35)</f>
        <v>978.33333333333337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451.66666666666669</v>
      </c>
      <c r="J51" s="105">
        <f>J48+J42+J36+J30</f>
        <v>1560</v>
      </c>
      <c r="K51" s="134">
        <f>K48+K42+K36+K30</f>
        <v>2011.6666666666665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Retailspecialist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25809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46599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>Leerjaar 2</v>
      </c>
      <c r="C14" s="28">
        <v>1</v>
      </c>
      <c r="D14" s="29">
        <f>Programmering!H32+Programmering!I32</f>
        <v>52.5</v>
      </c>
      <c r="E14" s="29">
        <f>Programmering!J32</f>
        <v>200</v>
      </c>
      <c r="F14" s="29">
        <f>Programmering!K32</f>
        <v>252.5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52.5</v>
      </c>
      <c r="E15" s="29">
        <f>Programmering!J33</f>
        <v>200</v>
      </c>
      <c r="F15" s="29">
        <f>Programmering!K33</f>
        <v>252.5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53.333333333333336</v>
      </c>
      <c r="E17" s="29">
        <f>Programmering!J35</f>
        <v>160</v>
      </c>
      <c r="F17" s="29">
        <f>Programmering!K35</f>
        <v>213.33333333333334</v>
      </c>
    </row>
    <row r="18" spans="2:6" ht="17.100000000000001" customHeight="1" x14ac:dyDescent="0.3">
      <c r="B18" s="166" t="str">
        <f>IF(Programmering!G36="","","Totaal ")</f>
        <v xml:space="preserve">Totaal </v>
      </c>
      <c r="C18" s="167"/>
      <c r="D18" s="32">
        <f>Programmering!H36+Programmering!I36</f>
        <v>218.33333333333334</v>
      </c>
      <c r="E18" s="32">
        <f>Programmering!J36</f>
        <v>760</v>
      </c>
      <c r="F18" s="32">
        <f>Programmering!K36</f>
        <v>978.33333333333337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451.66666666666669</v>
      </c>
      <c r="E32" s="52">
        <f>Programmering!J51</f>
        <v>1560</v>
      </c>
      <c r="F32" s="52">
        <f>Programmering!K51</f>
        <v>2011.6666666666665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25809</v>
      </c>
      <c r="C3" t="str">
        <f>RIGHT(Programmering!D6,LEN(Programmering!D6)-8)</f>
        <v>Retailspecialist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46599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52.5</v>
      </c>
      <c r="Z3" s="22">
        <f>Programmering!J32</f>
        <v>200</v>
      </c>
      <c r="AA3" s="22">
        <f>Programmering!H33+Programmering!I33</f>
        <v>52.5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160</v>
      </c>
      <c r="AG3" s="22">
        <f>Programmering!H36+Programmering!I36</f>
        <v>218.33333333333334</v>
      </c>
      <c r="AH3" s="22">
        <f>Programmering!J36</f>
        <v>760</v>
      </c>
      <c r="AI3" s="22">
        <f>Programmering!K36</f>
        <v>978.33333333333337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54A424-6E8D-466F-ABC9-D1186C772E67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